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31D" lockStructure="1" lockWindows="1"/>
  <bookViews>
    <workbookView xWindow="480" yWindow="135" windowWidth="15315" windowHeight="4935"/>
  </bookViews>
  <sheets>
    <sheet name="Front sheet" sheetId="1" r:id="rId1"/>
    <sheet name="Calculations" sheetId="2" state="hidden" r:id="rId2"/>
  </sheets>
  <definedNames>
    <definedName name="AEP">Calculations!$A$10:$A$11</definedName>
    <definedName name="Depth">Calculations!$A$1:$A$6</definedName>
    <definedName name="Dia">Calculations!$A$2:$A$6</definedName>
    <definedName name="Soil">Calculations!$H$3:$H$5</definedName>
    <definedName name="Year">Calculations!$B$1:$B$2</definedName>
    <definedName name="yes">Calculations!$A$20:$A$21</definedName>
  </definedNames>
  <calcPr calcId="145621"/>
</workbook>
</file>

<file path=xl/calcChain.xml><?xml version="1.0" encoding="utf-8"?>
<calcChain xmlns="http://schemas.openxmlformats.org/spreadsheetml/2006/main">
  <c r="I12" i="2" l="1"/>
  <c r="I11" i="2"/>
  <c r="R6" i="2" l="1"/>
  <c r="D32" i="1" l="1"/>
  <c r="E11" i="2" l="1"/>
  <c r="N4" i="2" l="1"/>
  <c r="N3" i="2"/>
  <c r="I13" i="2"/>
  <c r="R8" i="2"/>
  <c r="E21" i="2" s="1"/>
  <c r="E10" i="2"/>
  <c r="N5" i="2"/>
  <c r="I5" i="2"/>
  <c r="I10" i="2" s="1"/>
  <c r="I4" i="2"/>
  <c r="R10" i="2" l="1"/>
  <c r="R11" i="2" s="1"/>
  <c r="I15" i="2"/>
  <c r="E20" i="2" s="1"/>
  <c r="E14" i="2"/>
  <c r="E19" i="2" s="1"/>
  <c r="E23" i="2" l="1"/>
  <c r="H24" i="2" s="1"/>
  <c r="D22" i="1" s="1"/>
  <c r="U11" i="2"/>
  <c r="U12" i="2" s="1"/>
  <c r="H23" i="2" l="1"/>
  <c r="I23" i="2" s="1"/>
  <c r="E24" i="2" s="1"/>
  <c r="D27" i="1" s="1"/>
  <c r="D29" i="1"/>
  <c r="R13" i="2"/>
</calcChain>
</file>

<file path=xl/comments1.xml><?xml version="1.0" encoding="utf-8"?>
<comments xmlns="http://schemas.openxmlformats.org/spreadsheetml/2006/main">
  <authors>
    <author>Justin Wells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For drowned outlet conditions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Justin Wells:</t>
        </r>
        <r>
          <rPr>
            <sz val="9"/>
            <color indexed="81"/>
            <rFont val="Tahoma"/>
            <charset val="1"/>
          </rPr>
          <t xml:space="preserve">
No blockage factor, orifice (flow control pit) to have 300mm silt trap and be maintained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drowned outlet conditions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Justin Wells:</t>
        </r>
        <r>
          <rPr>
            <sz val="9"/>
            <color indexed="81"/>
            <rFont val="Tahoma"/>
            <family val="2"/>
          </rPr>
          <t xml:space="preserve">
per soak well for storm duration (storm duration plus time of conc. (assumed 5min))
assume soak well is initially empty
assume percolation of through walls is distributed hydrostatically</t>
        </r>
      </text>
    </comment>
  </commentList>
</comments>
</file>

<file path=xl/sharedStrings.xml><?xml version="1.0" encoding="utf-8"?>
<sst xmlns="http://schemas.openxmlformats.org/spreadsheetml/2006/main" count="95" uniqueCount="65">
  <si>
    <t>Owner's name:</t>
  </si>
  <si>
    <t>Property address:</t>
  </si>
  <si>
    <t>Builder's name</t>
  </si>
  <si>
    <t>Daytime phone number</t>
  </si>
  <si>
    <t>Total lot area:</t>
  </si>
  <si>
    <t>m²</t>
  </si>
  <si>
    <t>Roof area (Must be connected to soakwells/pits)</t>
  </si>
  <si>
    <t xml:space="preserve">Paved areas (Intended for soakwell/pit connection) </t>
  </si>
  <si>
    <t>Soil type  (select soil type)</t>
  </si>
  <si>
    <t>Sandy clay</t>
  </si>
  <si>
    <t>Permission to connect to council drainage? (select yes/no)</t>
  </si>
  <si>
    <t>yes</t>
  </si>
  <si>
    <t>Proposed soakwell/pit diameter (select size)</t>
  </si>
  <si>
    <t>mm</t>
  </si>
  <si>
    <t>Proposed soakwell/pit depth (select size)</t>
  </si>
  <si>
    <t>Volume required to be retained/detained</t>
  </si>
  <si>
    <t>m3</t>
  </si>
  <si>
    <t>Number of soakwells/pits required</t>
  </si>
  <si>
    <t>Diameter of orifice of the outlet pipe to council drainage</t>
  </si>
  <si>
    <t>(Refer to City's standard drawing number ES-41)</t>
  </si>
  <si>
    <t>Copy and forward this spreadsheet with your drainage submission</t>
  </si>
  <si>
    <t>mm/h</t>
  </si>
  <si>
    <t>Hydraulic conductivity</t>
  </si>
  <si>
    <t>From IFD chart</t>
  </si>
  <si>
    <t>Sand</t>
  </si>
  <si>
    <t>Clayey sand</t>
  </si>
  <si>
    <t>m/day</t>
  </si>
  <si>
    <t>Volume</t>
  </si>
  <si>
    <t>m2</t>
  </si>
  <si>
    <t>l/s</t>
  </si>
  <si>
    <t>Orifice diameter</t>
  </si>
  <si>
    <t>Cd</t>
  </si>
  <si>
    <r>
      <t>A</t>
    </r>
    <r>
      <rPr>
        <sz val="8"/>
        <color theme="1"/>
        <rFont val="Arial"/>
        <family val="2"/>
      </rPr>
      <t>0</t>
    </r>
  </si>
  <si>
    <t>h - head</t>
  </si>
  <si>
    <t>m</t>
  </si>
  <si>
    <t>Total stormwater</t>
  </si>
  <si>
    <t>Soak well/pit dimensions</t>
  </si>
  <si>
    <t>B - blockage factor</t>
  </si>
  <si>
    <t>Impervious area</t>
  </si>
  <si>
    <t>Rain intensity</t>
  </si>
  <si>
    <t>l/s/m2</t>
  </si>
  <si>
    <r>
      <t>Q</t>
    </r>
    <r>
      <rPr>
        <sz val="8"/>
        <color theme="1"/>
        <rFont val="Arial"/>
        <family val="2"/>
      </rPr>
      <t>design</t>
    </r>
    <r>
      <rPr>
        <sz val="10"/>
        <color theme="1"/>
        <rFont val="Arial"/>
        <family val="2"/>
      </rPr>
      <t xml:space="preserve"> for the lot</t>
    </r>
  </si>
  <si>
    <r>
      <t>Q</t>
    </r>
    <r>
      <rPr>
        <sz val="8"/>
        <color theme="1"/>
        <rFont val="Arial"/>
        <family val="2"/>
      </rPr>
      <t>design</t>
    </r>
  </si>
  <si>
    <t>Infiltration</t>
  </si>
  <si>
    <t>Total Volume</t>
  </si>
  <si>
    <t>Duration</t>
  </si>
  <si>
    <t>min</t>
  </si>
  <si>
    <t>Infiltration loss</t>
  </si>
  <si>
    <t>Modifaction factor</t>
  </si>
  <si>
    <t>Cross section area</t>
  </si>
  <si>
    <t>Wall area</t>
  </si>
  <si>
    <t>Volume Required</t>
  </si>
  <si>
    <t>Stormwater volume</t>
  </si>
  <si>
    <t>Discharge volume</t>
  </si>
  <si>
    <t># of soakwells/tanks required</t>
  </si>
  <si>
    <t>no</t>
  </si>
  <si>
    <t>Infiltration volume per unit</t>
  </si>
  <si>
    <t>ARI</t>
  </si>
  <si>
    <t>1 in 20</t>
  </si>
  <si>
    <t>1 in 100</t>
  </si>
  <si>
    <r>
      <t xml:space="preserve">Stormwater Design Calculator
</t>
    </r>
    <r>
      <rPr>
        <b/>
        <sz val="18"/>
        <rFont val="Arial"/>
        <family val="2"/>
      </rPr>
      <t xml:space="preserve">
</t>
    </r>
  </si>
  <si>
    <t>Select design event:</t>
  </si>
  <si>
    <t>For 20 year and 100 year ARI
Applies to Infill areas and Structure plans</t>
  </si>
  <si>
    <t>Moderating Factor</t>
  </si>
  <si>
    <t>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</si>
</sst>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[$-C09]dd\-mmm\-yy;@"/>
    <numFmt numFmtId="167" formatCode="0.00000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1" fillId="0" borderId="0" xfId="1" applyBorder="1" applyAlignment="1"/>
    <xf numFmtId="0" fontId="2" fillId="0" borderId="0" xfId="1" applyFont="1"/>
    <xf numFmtId="0" fontId="1" fillId="0" borderId="0" xfId="1" applyAlignment="1">
      <alignment horizontal="center"/>
    </xf>
    <xf numFmtId="0" fontId="5" fillId="0" borderId="0" xfId="1" applyFont="1" applyAlignme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2" borderId="7" xfId="1" applyFill="1" applyBorder="1" applyAlignment="1" applyProtection="1">
      <alignment horizontal="center"/>
      <protection locked="0"/>
    </xf>
    <xf numFmtId="0" fontId="4" fillId="0" borderId="0" xfId="1" applyFont="1"/>
    <xf numFmtId="0" fontId="5" fillId="0" borderId="0" xfId="1" applyFont="1"/>
    <xf numFmtId="0" fontId="5" fillId="0" borderId="0" xfId="1" applyFont="1" applyFill="1" applyBorder="1"/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165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 applyProtection="1">
      <alignment horizontal="center"/>
      <protection locked="0"/>
    </xf>
    <xf numFmtId="1" fontId="1" fillId="3" borderId="7" xfId="1" applyNumberFormat="1" applyFill="1" applyBorder="1" applyAlignment="1">
      <alignment horizontal="center"/>
    </xf>
    <xf numFmtId="2" fontId="1" fillId="3" borderId="7" xfId="1" applyNumberFormat="1" applyFill="1" applyBorder="1" applyAlignment="1">
      <alignment horizontal="center"/>
    </xf>
    <xf numFmtId="166" fontId="2" fillId="0" borderId="0" xfId="1" applyNumberFormat="1" applyFont="1"/>
    <xf numFmtId="0" fontId="1" fillId="0" borderId="0" xfId="1" applyBorder="1" applyAlignment="1" applyProtection="1">
      <protection locked="0"/>
    </xf>
    <xf numFmtId="0" fontId="0" fillId="0" borderId="0" xfId="0" applyFill="1"/>
    <xf numFmtId="167" fontId="0" fillId="0" borderId="0" xfId="0" applyNumberFormat="1"/>
    <xf numFmtId="0" fontId="0" fillId="6" borderId="1" xfId="0" applyFill="1" applyBorder="1"/>
    <xf numFmtId="0" fontId="0" fillId="0" borderId="10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7" borderId="1" xfId="0" applyFill="1" applyBorder="1"/>
    <xf numFmtId="165" fontId="0" fillId="0" borderId="0" xfId="0" applyNumberFormat="1" applyBorder="1"/>
    <xf numFmtId="165" fontId="0" fillId="0" borderId="11" xfId="0" applyNumberFormat="1" applyBorder="1"/>
    <xf numFmtId="0" fontId="0" fillId="5" borderId="1" xfId="0" applyFill="1" applyBorder="1"/>
    <xf numFmtId="0" fontId="0" fillId="8" borderId="1" xfId="0" applyFill="1" applyBorder="1"/>
    <xf numFmtId="0" fontId="0" fillId="0" borderId="4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" fontId="0" fillId="0" borderId="11" xfId="0" applyNumberFormat="1" applyBorder="1"/>
    <xf numFmtId="0" fontId="0" fillId="9" borderId="1" xfId="0" applyFill="1" applyBorder="1"/>
    <xf numFmtId="0" fontId="0" fillId="10" borderId="1" xfId="0" applyFill="1" applyBorder="1"/>
    <xf numFmtId="164" fontId="0" fillId="0" borderId="0" xfId="0" applyNumberFormat="1" applyBorder="1"/>
    <xf numFmtId="0" fontId="0" fillId="11" borderId="1" xfId="0" applyFill="1" applyBorder="1"/>
    <xf numFmtId="164" fontId="0" fillId="0" borderId="11" xfId="0" applyNumberFormat="1" applyBorder="1"/>
    <xf numFmtId="0" fontId="3" fillId="2" borderId="7" xfId="1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164" fontId="0" fillId="0" borderId="0" xfId="0" applyNumberFormat="1"/>
    <xf numFmtId="165" fontId="0" fillId="0" borderId="0" xfId="0" applyNumberFormat="1"/>
    <xf numFmtId="9" fontId="0" fillId="0" borderId="5" xfId="0" applyNumberFormat="1" applyBorder="1"/>
    <xf numFmtId="9" fontId="0" fillId="0" borderId="4" xfId="0" applyNumberFormat="1" applyBorder="1"/>
    <xf numFmtId="9" fontId="0" fillId="0" borderId="0" xfId="0" applyNumberFormat="1"/>
    <xf numFmtId="2" fontId="0" fillId="0" borderId="0" xfId="0" applyNumberFormat="1" applyBorder="1"/>
    <xf numFmtId="0" fontId="1" fillId="0" borderId="9" xfId="1" applyBorder="1" applyAlignment="1" applyProtection="1">
      <protection locked="0"/>
    </xf>
    <xf numFmtId="0" fontId="1" fillId="0" borderId="8" xfId="1" applyBorder="1" applyAlignment="1" applyProtection="1">
      <protection locked="0"/>
    </xf>
    <xf numFmtId="0" fontId="1" fillId="0" borderId="0" xfId="1" applyAlignment="1"/>
    <xf numFmtId="0" fontId="6" fillId="0" borderId="0" xfId="1" applyFont="1" applyAlignment="1"/>
    <xf numFmtId="0" fontId="6" fillId="0" borderId="0" xfId="1" applyFont="1" applyAlignment="1">
      <alignment horizontal="left"/>
    </xf>
    <xf numFmtId="0" fontId="1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" fillId="12" borderId="7" xfId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1" fillId="0" borderId="12" xfId="1" applyBorder="1" applyAlignment="1" applyProtection="1">
      <protection locked="0"/>
    </xf>
    <xf numFmtId="0" fontId="9" fillId="0" borderId="0" xfId="1" applyFont="1" applyAlignment="1"/>
    <xf numFmtId="0" fontId="7" fillId="11" borderId="13" xfId="1" applyNumberFormat="1" applyFont="1" applyFill="1" applyBorder="1" applyAlignment="1" applyProtection="1">
      <alignment horizontal="center"/>
      <protection locked="0"/>
    </xf>
    <xf numFmtId="0" fontId="7" fillId="11" borderId="14" xfId="1" applyNumberFormat="1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Percent 2" xfId="2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600074</xdr:colOff>
      <xdr:row>0</xdr:row>
      <xdr:rowOff>838800</xdr:rowOff>
    </xdr:to>
    <xdr:pic>
      <xdr:nvPicPr>
        <xdr:cNvPr id="2" name="Picture 2" descr="COG Logo Top Colour A4 [Converted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4" cy="83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34290</xdr:colOff>
      <xdr:row>1</xdr:row>
      <xdr:rowOff>43529</xdr:rowOff>
    </xdr:from>
    <xdr:ext cx="1832609" cy="5538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2569190" y="205454"/>
              <a:ext cx="1832609" cy="553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AU" sz="1100" b="0" i="1">
                          <a:latin typeface="Cambria Math"/>
                        </a:rPr>
                      </m:ctrlPr>
                    </m:sSubPr>
                    <m:e>
                      <m:r>
                        <a:rPr lang="en-AU" sz="1100" b="0" i="1">
                          <a:latin typeface="Cambria Math"/>
                        </a:rPr>
                        <m:t>𝐴</m:t>
                      </m:r>
                    </m:e>
                    <m:sub>
                      <m:r>
                        <a:rPr lang="en-AU" sz="1100" b="0" i="1">
                          <a:latin typeface="Cambria Math"/>
                        </a:rPr>
                        <m:t>0</m:t>
                      </m:r>
                    </m:sub>
                  </m:sSub>
                  <m:r>
                    <a:rPr lang="en-AU" sz="1100" i="1">
                      <a:latin typeface="Cambria Math"/>
                    </a:rPr>
                    <m:t>=</m:t>
                  </m:r>
                  <m:f>
                    <m:fPr>
                      <m:ctrlPr>
                        <a:rPr lang="en-AU" sz="11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en-AU" sz="110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AU" sz="1100" b="0" i="1">
                              <a:latin typeface="Cambria Math"/>
                            </a:rPr>
                            <m:t>𝑄</m:t>
                          </m:r>
                        </m:e>
                        <m:sub>
                          <m:r>
                            <a:rPr lang="en-AU" sz="1100" b="0" i="1">
                              <a:latin typeface="Cambria Math"/>
                            </a:rPr>
                            <m:t>𝑑𝑒𝑠𝑖𝑔𝑛</m:t>
                          </m:r>
                        </m:sub>
                      </m:sSub>
                    </m:num>
                    <m:den>
                      <m:r>
                        <a:rPr lang="en-AU" sz="1100" b="0" i="1">
                          <a:latin typeface="Cambria Math"/>
                        </a:rPr>
                        <m:t>𝐵</m:t>
                      </m:r>
                      <m:sSub>
                        <m:sSubPr>
                          <m:ctrlPr>
                            <a:rPr lang="en-AU" sz="11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en-AU" sz="11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en-AU" sz="1100" b="0" i="1">
                              <a:latin typeface="Cambria Math"/>
                            </a:rPr>
                            <m:t>𝑑</m:t>
                          </m:r>
                        </m:sub>
                      </m:sSub>
                      <m:rad>
                        <m:radPr>
                          <m:degHide m:val="on"/>
                          <m:ctrlPr>
                            <a:rPr lang="en-AU" sz="1100" b="0" i="1">
                              <a:latin typeface="Cambria Math"/>
                            </a:rPr>
                          </m:ctrlPr>
                        </m:radPr>
                        <m:deg/>
                        <m:e>
                          <m:r>
                            <a:rPr lang="en-AU" sz="1100" b="0" i="1">
                              <a:latin typeface="Cambria Math"/>
                            </a:rPr>
                            <m:t>2</m:t>
                          </m:r>
                          <m:r>
                            <a:rPr lang="en-AU" sz="1100" b="0" i="1">
                              <a:latin typeface="Cambria Math"/>
                            </a:rPr>
                            <m:t>𝑔h</m:t>
                          </m:r>
                        </m:e>
                      </m:rad>
                    </m:den>
                  </m:f>
                </m:oMath>
              </a14:m>
              <a:r>
                <a:rPr lang="en-AU" sz="1100"/>
                <a:t>, </a:t>
              </a:r>
            </a:p>
            <a:p>
              <a:r>
                <a:rPr lang="en-AU" sz="1100"/>
                <a:t>Source:</a:t>
              </a:r>
              <a:r>
                <a:rPr lang="en-AU" sz="1100" baseline="0"/>
                <a:t> </a:t>
              </a:r>
              <a:r>
                <a:rPr lang="en-AU" sz="1100"/>
                <a:t>Brisbane city council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2569190" y="205454"/>
              <a:ext cx="1832609" cy="5538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AU" sz="1100" b="0" i="0">
                  <a:latin typeface="Cambria Math"/>
                </a:rPr>
                <a:t>𝐴_0</a:t>
              </a:r>
              <a:r>
                <a:rPr lang="en-AU" sz="1100" i="0">
                  <a:latin typeface="Cambria Math"/>
                </a:rPr>
                <a:t>=</a:t>
              </a:r>
              <a:r>
                <a:rPr lang="en-AU" sz="1100" b="0" i="0">
                  <a:latin typeface="Cambria Math"/>
                </a:rPr>
                <a:t>𝑄_𝑑𝑒𝑠𝑖𝑔𝑛/(𝐵𝐶_𝑑 √2𝑔ℎ)</a:t>
              </a:r>
              <a:r>
                <a:rPr lang="en-AU" sz="1100"/>
                <a:t>, </a:t>
              </a:r>
            </a:p>
            <a:p>
              <a:r>
                <a:rPr lang="en-AU" sz="1100"/>
                <a:t>Source:</a:t>
              </a:r>
              <a:r>
                <a:rPr lang="en-AU" sz="1100" baseline="0"/>
                <a:t> </a:t>
              </a:r>
              <a:r>
                <a:rPr lang="en-AU" sz="1100"/>
                <a:t>Brisbane city council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indowProtection="1" tabSelected="1" zoomScale="90" zoomScaleNormal="90" workbookViewId="0">
      <selection activeCell="B7" sqref="B7"/>
    </sheetView>
  </sheetViews>
  <sheetFormatPr defaultRowHeight="12.75" x14ac:dyDescent="0.2"/>
  <cols>
    <col min="1" max="1" width="29.5703125" customWidth="1"/>
    <col min="2" max="2" width="33" customWidth="1"/>
    <col min="3" max="3" width="9.140625" customWidth="1"/>
    <col min="4" max="4" width="12.140625" customWidth="1"/>
    <col min="5" max="5" width="5.42578125" customWidth="1"/>
  </cols>
  <sheetData>
    <row r="1" spans="1:7" ht="67.5" customHeight="1" x14ac:dyDescent="0.2">
      <c r="A1" s="1"/>
      <c r="B1" s="1"/>
      <c r="C1" s="1"/>
      <c r="D1" s="1"/>
      <c r="E1" s="1"/>
      <c r="F1" s="1"/>
    </row>
    <row r="2" spans="1:7" ht="36" customHeight="1" x14ac:dyDescent="0.2">
      <c r="A2" s="67" t="s">
        <v>60</v>
      </c>
      <c r="B2" s="67"/>
      <c r="C2" s="67"/>
      <c r="D2" s="67"/>
      <c r="E2" s="60"/>
      <c r="F2" s="60"/>
      <c r="G2" s="60"/>
    </row>
    <row r="3" spans="1:7" ht="50.25" customHeight="1" x14ac:dyDescent="0.2">
      <c r="A3" s="68" t="s">
        <v>62</v>
      </c>
      <c r="B3" s="68"/>
      <c r="C3" s="68"/>
      <c r="D3" s="68"/>
      <c r="E3" s="62"/>
      <c r="F3" s="62"/>
      <c r="G3" s="62"/>
    </row>
    <row r="4" spans="1:7" x14ac:dyDescent="0.2">
      <c r="A4" s="69"/>
      <c r="B4" s="69"/>
      <c r="C4" s="69"/>
      <c r="D4" s="69"/>
      <c r="E4" s="59"/>
      <c r="F4" s="59"/>
    </row>
    <row r="5" spans="1:7" x14ac:dyDescent="0.2">
      <c r="A5" s="56"/>
      <c r="B5" s="56"/>
      <c r="C5" s="56"/>
      <c r="D5" s="56"/>
      <c r="E5" s="56"/>
      <c r="F5" s="56"/>
    </row>
    <row r="6" spans="1:7" ht="18" x14ac:dyDescent="0.25">
      <c r="A6" s="57" t="s">
        <v>0</v>
      </c>
      <c r="B6" s="54"/>
      <c r="C6" s="54"/>
      <c r="D6" s="54"/>
      <c r="E6" s="2"/>
      <c r="F6" s="56"/>
    </row>
    <row r="7" spans="1:7" ht="18" x14ac:dyDescent="0.25">
      <c r="A7" s="6" t="s">
        <v>1</v>
      </c>
      <c r="B7" s="54"/>
      <c r="C7" s="55"/>
      <c r="D7" s="55"/>
      <c r="E7" s="2"/>
      <c r="F7" s="56"/>
    </row>
    <row r="8" spans="1:7" ht="20.25" x14ac:dyDescent="0.3">
      <c r="A8" s="6"/>
      <c r="B8" s="7"/>
      <c r="C8" s="56"/>
      <c r="D8" s="56"/>
      <c r="E8" s="2"/>
      <c r="F8" s="56"/>
    </row>
    <row r="9" spans="1:7" ht="18" x14ac:dyDescent="0.25">
      <c r="A9" s="57" t="s">
        <v>2</v>
      </c>
      <c r="B9" s="54"/>
      <c r="C9" s="55"/>
      <c r="D9" s="55"/>
      <c r="E9" s="56"/>
      <c r="F9" s="56"/>
    </row>
    <row r="10" spans="1:7" ht="18" x14ac:dyDescent="0.25">
      <c r="A10" s="58" t="s">
        <v>3</v>
      </c>
      <c r="B10" s="54"/>
      <c r="C10" s="63"/>
      <c r="D10" s="63"/>
      <c r="E10" s="56"/>
      <c r="F10" s="56"/>
    </row>
    <row r="11" spans="1:7" ht="18.75" thickBot="1" x14ac:dyDescent="0.3">
      <c r="A11" s="58"/>
      <c r="B11" s="20"/>
      <c r="C11" s="20"/>
      <c r="D11" s="20"/>
      <c r="E11" s="56"/>
      <c r="F11" s="56"/>
    </row>
    <row r="12" spans="1:7" ht="27.75" customHeight="1" thickBot="1" x14ac:dyDescent="0.35">
      <c r="A12" s="58" t="s">
        <v>61</v>
      </c>
      <c r="B12" s="65" t="s">
        <v>59</v>
      </c>
      <c r="C12" s="66"/>
      <c r="D12" s="64" t="s">
        <v>57</v>
      </c>
      <c r="F12" s="56"/>
    </row>
    <row r="13" spans="1:7" ht="16.5" thickBot="1" x14ac:dyDescent="0.3">
      <c r="A13" s="5"/>
      <c r="B13" s="56"/>
      <c r="C13" s="56"/>
      <c r="D13" s="56"/>
      <c r="E13" s="56"/>
      <c r="F13" s="56"/>
    </row>
    <row r="14" spans="1:7" ht="18.75" thickBot="1" x14ac:dyDescent="0.3">
      <c r="A14" s="6" t="s">
        <v>4</v>
      </c>
      <c r="B14" s="1"/>
      <c r="D14" s="9"/>
      <c r="E14" s="11" t="s">
        <v>5</v>
      </c>
      <c r="F14" s="1"/>
    </row>
    <row r="15" spans="1:7" ht="18.75" thickBot="1" x14ac:dyDescent="0.3">
      <c r="A15" s="8" t="s">
        <v>6</v>
      </c>
      <c r="B15" s="1"/>
      <c r="D15" s="9"/>
      <c r="E15" s="11" t="s">
        <v>5</v>
      </c>
      <c r="F15" s="1"/>
    </row>
    <row r="16" spans="1:7" ht="18.75" thickBot="1" x14ac:dyDescent="0.3">
      <c r="A16" s="8" t="s">
        <v>7</v>
      </c>
      <c r="B16" s="1"/>
      <c r="D16" s="9"/>
      <c r="E16" s="11" t="s">
        <v>5</v>
      </c>
      <c r="F16" s="1"/>
    </row>
    <row r="17" spans="1:6" ht="13.5" thickBot="1" x14ac:dyDescent="0.25">
      <c r="A17" s="1"/>
      <c r="B17" s="1"/>
      <c r="D17" s="1"/>
      <c r="E17" s="1"/>
      <c r="F17" s="1"/>
    </row>
    <row r="18" spans="1:6" ht="18.75" thickBot="1" x14ac:dyDescent="0.3">
      <c r="A18" s="8" t="s">
        <v>8</v>
      </c>
      <c r="B18" s="1"/>
      <c r="D18" s="46" t="s">
        <v>25</v>
      </c>
      <c r="E18" s="13"/>
      <c r="F18" s="56"/>
    </row>
    <row r="19" spans="1:6" ht="13.5" thickBot="1" x14ac:dyDescent="0.25">
      <c r="A19" s="1"/>
      <c r="B19" s="1"/>
      <c r="D19" s="4"/>
      <c r="E19" s="1"/>
      <c r="F19" s="1"/>
    </row>
    <row r="20" spans="1:6" ht="18.75" thickBot="1" x14ac:dyDescent="0.3">
      <c r="A20" s="8" t="s">
        <v>10</v>
      </c>
      <c r="B20" s="1"/>
      <c r="D20" s="9" t="s">
        <v>11</v>
      </c>
      <c r="E20" s="14"/>
      <c r="F20" s="1"/>
    </row>
    <row r="21" spans="1:6" ht="13.5" thickBot="1" x14ac:dyDescent="0.25">
      <c r="A21" s="1"/>
      <c r="B21" s="1"/>
      <c r="D21" s="1"/>
      <c r="E21" s="1"/>
      <c r="F21" s="1"/>
    </row>
    <row r="22" spans="1:6" ht="18.75" thickBot="1" x14ac:dyDescent="0.3">
      <c r="A22" s="8" t="s">
        <v>15</v>
      </c>
      <c r="B22" s="1"/>
      <c r="D22" s="18">
        <f>Calculations!H24</f>
        <v>0</v>
      </c>
      <c r="E22" s="12" t="s">
        <v>16</v>
      </c>
      <c r="F22" s="1"/>
    </row>
    <row r="23" spans="1:6" ht="13.5" thickBot="1" x14ac:dyDescent="0.25">
      <c r="A23" s="1"/>
      <c r="B23" s="1"/>
      <c r="D23" s="1"/>
      <c r="E23" s="1"/>
      <c r="F23" s="1"/>
    </row>
    <row r="24" spans="1:6" ht="18.75" thickBot="1" x14ac:dyDescent="0.3">
      <c r="A24" s="8" t="s">
        <v>12</v>
      </c>
      <c r="B24" s="1"/>
      <c r="D24" s="61">
        <v>1500</v>
      </c>
      <c r="E24" s="11" t="s">
        <v>13</v>
      </c>
      <c r="F24" s="1"/>
    </row>
    <row r="25" spans="1:6" ht="18.75" thickBot="1" x14ac:dyDescent="0.3">
      <c r="A25" s="8" t="s">
        <v>14</v>
      </c>
      <c r="B25" s="1"/>
      <c r="D25" s="61">
        <v>1200</v>
      </c>
      <c r="E25" s="12" t="s">
        <v>13</v>
      </c>
      <c r="F25" s="1"/>
    </row>
    <row r="26" spans="1:6" ht="18.75" thickBot="1" x14ac:dyDescent="0.3">
      <c r="A26" s="8"/>
      <c r="B26" s="1"/>
      <c r="D26" s="16"/>
      <c r="E26" s="12"/>
      <c r="F26" s="1"/>
    </row>
    <row r="27" spans="1:6" ht="18.75" thickBot="1" x14ac:dyDescent="0.3">
      <c r="A27" s="8" t="s">
        <v>17</v>
      </c>
      <c r="B27" s="1"/>
      <c r="D27" s="17">
        <f>Calculations!E24</f>
        <v>0</v>
      </c>
      <c r="E27" s="1"/>
      <c r="F27" s="1"/>
    </row>
    <row r="28" spans="1:6" ht="13.5" thickBot="1" x14ac:dyDescent="0.25">
      <c r="A28" s="1"/>
      <c r="B28" s="1"/>
      <c r="D28" s="1"/>
      <c r="E28" s="1"/>
      <c r="F28" s="1"/>
    </row>
    <row r="29" spans="1:6" ht="18.75" thickBot="1" x14ac:dyDescent="0.3">
      <c r="A29" s="8" t="s">
        <v>18</v>
      </c>
      <c r="B29" s="1"/>
      <c r="D29" s="17" t="str">
        <f>IF(D18="Sandy clay",IF(D20="yes",Calculations!R13,"N/A"),"N/A")</f>
        <v>N/A</v>
      </c>
      <c r="E29" s="3" t="s">
        <v>13</v>
      </c>
    </row>
    <row r="31" spans="1:6" x14ac:dyDescent="0.2">
      <c r="A31" s="1" t="s">
        <v>19</v>
      </c>
    </row>
    <row r="32" spans="1:6" x14ac:dyDescent="0.2">
      <c r="A32" s="1"/>
      <c r="B32" s="1"/>
      <c r="D32" s="19">
        <f ca="1">TODAY()</f>
        <v>43776</v>
      </c>
      <c r="E32" s="1"/>
      <c r="F32" s="1"/>
    </row>
    <row r="33" spans="1:6" ht="18" x14ac:dyDescent="0.25">
      <c r="A33" s="10" t="s">
        <v>20</v>
      </c>
      <c r="B33" s="1"/>
      <c r="C33" s="15"/>
      <c r="D33" s="8"/>
      <c r="E33" s="1"/>
      <c r="F33" s="1"/>
    </row>
  </sheetData>
  <sheetProtection password="931D" sheet="1" objects="1" scenarios="1" selectLockedCells="1"/>
  <mergeCells count="4">
    <mergeCell ref="B12:C12"/>
    <mergeCell ref="A2:D2"/>
    <mergeCell ref="A3:D3"/>
    <mergeCell ref="A4:D4"/>
  </mergeCells>
  <dataValidations count="5">
    <dataValidation type="list" allowBlank="1" showInputMessage="1" showErrorMessage="1" sqref="D24">
      <formula1>Dia</formula1>
    </dataValidation>
    <dataValidation type="list" allowBlank="1" showInputMessage="1" showErrorMessage="1" sqref="D25">
      <formula1>Depth</formula1>
    </dataValidation>
    <dataValidation type="list" allowBlank="1" showInputMessage="1" showErrorMessage="1" sqref="B12">
      <formula1>Year</formula1>
    </dataValidation>
    <dataValidation type="list" allowBlank="1" showInputMessage="1" showErrorMessage="1" sqref="D18">
      <formula1>Soil</formula1>
    </dataValidation>
    <dataValidation type="list" allowBlank="1" showInputMessage="1" showErrorMessage="1" sqref="D20">
      <formula1>yes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windowProtection="1" workbookViewId="0">
      <selection activeCell="A47" sqref="A47"/>
    </sheetView>
  </sheetViews>
  <sheetFormatPr defaultRowHeight="12.75" x14ac:dyDescent="0.2"/>
  <cols>
    <col min="4" max="4" width="26.140625" customWidth="1"/>
    <col min="5" max="5" width="9.140625" customWidth="1"/>
    <col min="8" max="8" width="19.140625" customWidth="1"/>
    <col min="9" max="9" width="9.140625" customWidth="1"/>
    <col min="11" max="11" width="16.5703125" customWidth="1"/>
    <col min="13" max="13" width="21.85546875" customWidth="1"/>
    <col min="17" max="17" width="18" customWidth="1"/>
    <col min="18" max="18" width="9.140625" customWidth="1"/>
  </cols>
  <sheetData>
    <row r="1" spans="1:22" ht="13.5" thickBot="1" x14ac:dyDescent="0.25">
      <c r="A1">
        <v>600</v>
      </c>
      <c r="B1" t="s">
        <v>58</v>
      </c>
    </row>
    <row r="2" spans="1:22" x14ac:dyDescent="0.2">
      <c r="A2">
        <v>900</v>
      </c>
      <c r="B2" t="s">
        <v>59</v>
      </c>
      <c r="D2" s="23" t="s">
        <v>23</v>
      </c>
      <c r="E2" s="24"/>
      <c r="F2" s="25"/>
      <c r="H2" s="32" t="s">
        <v>22</v>
      </c>
      <c r="I2" s="24"/>
      <c r="J2" s="24"/>
      <c r="K2" s="25" t="s">
        <v>63</v>
      </c>
      <c r="M2" s="35" t="s">
        <v>36</v>
      </c>
      <c r="N2" s="24"/>
      <c r="O2" s="25"/>
      <c r="P2" s="27"/>
      <c r="Q2" s="36" t="s">
        <v>30</v>
      </c>
      <c r="R2" s="24"/>
      <c r="S2" s="24"/>
      <c r="T2" s="24"/>
      <c r="U2" s="24"/>
      <c r="V2" s="25"/>
    </row>
    <row r="3" spans="1:22" x14ac:dyDescent="0.2">
      <c r="A3">
        <v>1050</v>
      </c>
      <c r="D3" s="51">
        <v>0.05</v>
      </c>
      <c r="E3" s="27">
        <v>32.6</v>
      </c>
      <c r="F3" s="28" t="s">
        <v>21</v>
      </c>
      <c r="H3" s="26" t="s">
        <v>9</v>
      </c>
      <c r="I3" s="33">
        <v>0.1</v>
      </c>
      <c r="J3" s="27" t="s">
        <v>26</v>
      </c>
      <c r="K3" s="28">
        <v>2</v>
      </c>
      <c r="M3" s="26" t="s">
        <v>49</v>
      </c>
      <c r="N3" s="43">
        <f>PI()*('Front sheet'!D24/2/1000)^2</f>
        <v>1.7671458676442586</v>
      </c>
      <c r="O3" s="28" t="s">
        <v>28</v>
      </c>
      <c r="P3" s="27"/>
      <c r="Q3" s="26" t="s">
        <v>42</v>
      </c>
      <c r="R3" s="27">
        <v>2E-3</v>
      </c>
      <c r="S3" s="27" t="s">
        <v>40</v>
      </c>
      <c r="T3" s="27"/>
      <c r="U3" s="27"/>
      <c r="V3" s="28"/>
    </row>
    <row r="4" spans="1:22" ht="13.5" thickBot="1" x14ac:dyDescent="0.25">
      <c r="A4">
        <v>1200</v>
      </c>
      <c r="D4" s="50">
        <v>0.01</v>
      </c>
      <c r="E4" s="30">
        <v>43.4</v>
      </c>
      <c r="F4" s="31" t="s">
        <v>21</v>
      </c>
      <c r="H4" s="26" t="s">
        <v>25</v>
      </c>
      <c r="I4" s="33">
        <f>60*60*24*0.00002</f>
        <v>1.7280000000000002</v>
      </c>
      <c r="J4" s="27" t="s">
        <v>26</v>
      </c>
      <c r="K4" s="28">
        <v>1.1499999999999999</v>
      </c>
      <c r="M4" s="26" t="s">
        <v>50</v>
      </c>
      <c r="N4" s="43">
        <f>'Front sheet'!D24/1000*PI()*'Front sheet'!D25/1000</f>
        <v>5.6548667764616276</v>
      </c>
      <c r="O4" s="28" t="s">
        <v>28</v>
      </c>
      <c r="P4" s="27"/>
      <c r="Q4" s="26" t="s">
        <v>37</v>
      </c>
      <c r="R4" s="27">
        <v>1</v>
      </c>
      <c r="S4" s="27"/>
      <c r="T4" s="27"/>
      <c r="U4" s="27"/>
      <c r="V4" s="28"/>
    </row>
    <row r="5" spans="1:22" ht="13.5" thickBot="1" x14ac:dyDescent="0.25">
      <c r="A5">
        <v>1500</v>
      </c>
      <c r="H5" s="29" t="s">
        <v>24</v>
      </c>
      <c r="I5" s="34">
        <f>60*60*24*0.00006</f>
        <v>5.1840000000000002</v>
      </c>
      <c r="J5" s="30" t="s">
        <v>26</v>
      </c>
      <c r="K5" s="31">
        <v>0.7</v>
      </c>
      <c r="M5" s="29" t="s">
        <v>27</v>
      </c>
      <c r="N5" s="45">
        <f>('Front sheet'!D24/1000/2)^2*PI()*'Front sheet'!D25/1000</f>
        <v>2.1205750411731104</v>
      </c>
      <c r="O5" s="31" t="s">
        <v>16</v>
      </c>
      <c r="Q5" s="26" t="s">
        <v>31</v>
      </c>
      <c r="R5" s="27">
        <v>0.6</v>
      </c>
      <c r="S5" s="27"/>
      <c r="T5" s="27"/>
      <c r="U5" s="27"/>
      <c r="V5" s="28"/>
    </row>
    <row r="6" spans="1:22" x14ac:dyDescent="0.2">
      <c r="A6">
        <v>1800</v>
      </c>
      <c r="Q6" s="26" t="s">
        <v>33</v>
      </c>
      <c r="R6" s="27">
        <f>IF('Front sheet'!D25=600,0.3,IF('Front sheet'!D25=900,0.45,IF('Front sheet'!D25=1050, 0.525,IF('Front sheet'!D25=1200,0.6,IF('Front sheet'!D25=1500,0.75,IF('Front sheet'!D25=1800,0.9,"error"))))))</f>
        <v>0.6</v>
      </c>
      <c r="S6" s="27" t="s">
        <v>34</v>
      </c>
      <c r="T6" s="27"/>
      <c r="U6" s="27"/>
      <c r="V6" s="28"/>
    </row>
    <row r="7" spans="1:22" x14ac:dyDescent="0.2">
      <c r="Q7" s="26"/>
      <c r="R7" s="27"/>
      <c r="S7" s="27"/>
      <c r="T7" s="27"/>
      <c r="U7" s="27"/>
      <c r="V7" s="28"/>
    </row>
    <row r="8" spans="1:22" ht="13.5" thickBot="1" x14ac:dyDescent="0.25">
      <c r="Q8" s="26" t="s">
        <v>41</v>
      </c>
      <c r="R8" s="27">
        <f>R3*'Front sheet'!D14</f>
        <v>0</v>
      </c>
      <c r="S8" s="27" t="s">
        <v>29</v>
      </c>
      <c r="T8" s="27"/>
      <c r="U8" s="27"/>
      <c r="V8" s="28"/>
    </row>
    <row r="9" spans="1:22" x14ac:dyDescent="0.2">
      <c r="D9" s="41" t="s">
        <v>35</v>
      </c>
      <c r="E9" s="24"/>
      <c r="F9" s="25"/>
      <c r="H9" s="42" t="s">
        <v>43</v>
      </c>
      <c r="I9" s="24"/>
      <c r="J9" s="25"/>
      <c r="M9" s="21"/>
      <c r="Q9" s="26"/>
      <c r="R9" s="27"/>
      <c r="S9" s="27"/>
      <c r="T9" s="27"/>
      <c r="U9" s="27"/>
      <c r="V9" s="28"/>
    </row>
    <row r="10" spans="1:22" x14ac:dyDescent="0.2">
      <c r="A10" s="52">
        <v>0.05</v>
      </c>
      <c r="D10" s="26" t="s">
        <v>38</v>
      </c>
      <c r="E10" s="27">
        <f>'Front sheet'!D15+'Front sheet'!D16</f>
        <v>0</v>
      </c>
      <c r="F10" s="28" t="s">
        <v>28</v>
      </c>
      <c r="H10" s="26" t="s">
        <v>22</v>
      </c>
      <c r="I10" s="27">
        <f>IF('Front sheet'!D18=H3,I3,IF('Front sheet'!D18=H4,I4,I5))</f>
        <v>1.7280000000000002</v>
      </c>
      <c r="J10" s="28" t="s">
        <v>26</v>
      </c>
      <c r="Q10" s="37" t="s">
        <v>32</v>
      </c>
      <c r="R10" s="38">
        <f>(R8/1000)/(R4*R5*SQRT(2*9.79*R6))</f>
        <v>0</v>
      </c>
      <c r="S10" s="27" t="s">
        <v>28</v>
      </c>
      <c r="T10" s="27"/>
      <c r="U10" s="27"/>
      <c r="V10" s="28"/>
    </row>
    <row r="11" spans="1:22" x14ac:dyDescent="0.2">
      <c r="A11" s="52">
        <v>0.01</v>
      </c>
      <c r="D11" s="26" t="s">
        <v>39</v>
      </c>
      <c r="E11" s="27">
        <f>IF('Front sheet'!B12=B2,Calculations!E4,IF('Front sheet'!B12=B1,Calculations!E3,"error"))</f>
        <v>43.4</v>
      </c>
      <c r="F11" s="28" t="s">
        <v>21</v>
      </c>
      <c r="H11" s="26" t="s">
        <v>49</v>
      </c>
      <c r="I11" s="43">
        <f>IF('Front sheet'!D18="Sandy clay",PI()*0.075^2,N3)</f>
        <v>1.7671458676442586</v>
      </c>
      <c r="J11" s="28" t="s">
        <v>28</v>
      </c>
      <c r="Q11" s="37" t="s">
        <v>30</v>
      </c>
      <c r="R11" s="39">
        <f>2*SQRT(R10/PI())*1000</f>
        <v>0</v>
      </c>
      <c r="S11" s="27" t="s">
        <v>13</v>
      </c>
      <c r="T11" s="27"/>
      <c r="U11" s="53">
        <f>ROUNDDOWN(R11,-1)</f>
        <v>0</v>
      </c>
      <c r="V11" s="28"/>
    </row>
    <row r="12" spans="1:22" x14ac:dyDescent="0.2">
      <c r="D12" s="26" t="s">
        <v>45</v>
      </c>
      <c r="E12" s="27">
        <v>60</v>
      </c>
      <c r="F12" s="28" t="s">
        <v>46</v>
      </c>
      <c r="H12" s="26" t="s">
        <v>50</v>
      </c>
      <c r="I12" s="43">
        <f>IF('Front sheet'!D18="Sandy clay",0,N4)</f>
        <v>5.6548667764616276</v>
      </c>
      <c r="J12" s="28" t="s">
        <v>28</v>
      </c>
      <c r="Q12" s="26"/>
      <c r="R12" s="27"/>
      <c r="S12" s="27"/>
      <c r="T12" s="27"/>
      <c r="U12" s="53">
        <f>R11-U11</f>
        <v>0</v>
      </c>
      <c r="V12" s="28"/>
    </row>
    <row r="13" spans="1:22" ht="13.5" thickBot="1" x14ac:dyDescent="0.25">
      <c r="D13" s="26"/>
      <c r="E13" s="27"/>
      <c r="F13" s="28"/>
      <c r="H13" s="26" t="s">
        <v>48</v>
      </c>
      <c r="I13" s="27">
        <f>IF('Front sheet'!D18=Calculations!H3,K3,IF('Front sheet'!D18=Calculations!H4,K4,K5))</f>
        <v>1.1499999999999999</v>
      </c>
      <c r="J13" s="28"/>
      <c r="Q13" s="29" t="s">
        <v>64</v>
      </c>
      <c r="R13" s="40">
        <f>IF(U12&gt;8,U11+10,IF(U12&gt;3,U11+5,U11))</f>
        <v>0</v>
      </c>
      <c r="S13" s="30" t="s">
        <v>13</v>
      </c>
      <c r="T13" s="30"/>
      <c r="U13" s="30"/>
      <c r="V13" s="31"/>
    </row>
    <row r="14" spans="1:22" ht="13.5" thickBot="1" x14ac:dyDescent="0.25">
      <c r="D14" s="29" t="s">
        <v>44</v>
      </c>
      <c r="E14" s="34">
        <f>E10*E11*E12/1000/60</f>
        <v>0</v>
      </c>
      <c r="F14" s="31" t="s">
        <v>16</v>
      </c>
      <c r="H14" s="26"/>
      <c r="I14" s="27"/>
      <c r="J14" s="28"/>
    </row>
    <row r="15" spans="1:22" ht="13.5" thickBot="1" x14ac:dyDescent="0.25">
      <c r="H15" s="29" t="s">
        <v>47</v>
      </c>
      <c r="I15" s="45">
        <f>(I10/24)*(I11+I12/2/2)*I13*(1+5/60)</f>
        <v>0.28532337178984202</v>
      </c>
      <c r="J15" s="31" t="s">
        <v>16</v>
      </c>
      <c r="N15" s="49"/>
    </row>
    <row r="17" spans="1:9" ht="13.5" thickBot="1" x14ac:dyDescent="0.25"/>
    <row r="18" spans="1:9" x14ac:dyDescent="0.2">
      <c r="D18" s="44" t="s">
        <v>51</v>
      </c>
      <c r="E18" s="24"/>
      <c r="F18" s="25"/>
    </row>
    <row r="19" spans="1:9" x14ac:dyDescent="0.2">
      <c r="D19" s="26" t="s">
        <v>52</v>
      </c>
      <c r="E19" s="33">
        <f>E14</f>
        <v>0</v>
      </c>
      <c r="F19" s="28" t="s">
        <v>16</v>
      </c>
    </row>
    <row r="20" spans="1:9" x14ac:dyDescent="0.2">
      <c r="A20" t="s">
        <v>11</v>
      </c>
      <c r="D20" s="26" t="s">
        <v>56</v>
      </c>
      <c r="E20" s="33">
        <f>IF('Front sheet'!D18="Sandy clay",0,I15)</f>
        <v>0.28532337178984202</v>
      </c>
      <c r="F20" s="28" t="s">
        <v>16</v>
      </c>
    </row>
    <row r="21" spans="1:9" x14ac:dyDescent="0.2">
      <c r="A21" t="s">
        <v>55</v>
      </c>
      <c r="D21" s="26" t="s">
        <v>53</v>
      </c>
      <c r="E21" s="33">
        <f>IF('Front sheet'!D20="yes",R8*60*60/1000,0)</f>
        <v>0</v>
      </c>
      <c r="F21" s="28" t="s">
        <v>16</v>
      </c>
    </row>
    <row r="22" spans="1:9" x14ac:dyDescent="0.2">
      <c r="D22" s="26"/>
      <c r="E22" s="33"/>
      <c r="F22" s="28"/>
    </row>
    <row r="23" spans="1:9" x14ac:dyDescent="0.2">
      <c r="D23" s="26" t="s">
        <v>54</v>
      </c>
      <c r="E23" s="43">
        <f>(E19-E21)/(E20+N5)</f>
        <v>0</v>
      </c>
      <c r="F23" s="28"/>
      <c r="H23">
        <f>ROUNDDOWN(E23,0)</f>
        <v>0</v>
      </c>
      <c r="I23" s="48">
        <f>E23-H23</f>
        <v>0</v>
      </c>
    </row>
    <row r="24" spans="1:9" ht="13.5" thickBot="1" x14ac:dyDescent="0.25">
      <c r="D24" s="47" t="s">
        <v>54</v>
      </c>
      <c r="E24" s="34">
        <f>IF(I23&lt;0.3,H23,H23+1)</f>
        <v>0</v>
      </c>
      <c r="F24" s="31"/>
      <c r="H24" s="48">
        <f>E23*N5</f>
        <v>0</v>
      </c>
    </row>
    <row r="26" spans="1:9" x14ac:dyDescent="0.2">
      <c r="E26" s="2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Front sheet</vt:lpstr>
      <vt:lpstr>Calculations</vt:lpstr>
      <vt:lpstr>AEP</vt:lpstr>
      <vt:lpstr>Depth</vt:lpstr>
      <vt:lpstr>Dia</vt:lpstr>
      <vt:lpstr>Soil</vt:lpstr>
      <vt:lpstr>Year</vt:lpstr>
      <vt:lpstr>yes</vt:lpstr>
    </vt:vector>
  </TitlesOfParts>
  <Company>City of Gosnells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Wells</dc:creator>
  <cp:lastModifiedBy>Justin Wells</cp:lastModifiedBy>
  <cp:lastPrinted>2017-03-17T01:26:59Z</cp:lastPrinted>
  <dcterms:created xsi:type="dcterms:W3CDTF">2016-11-10T04:48:09Z</dcterms:created>
  <dcterms:modified xsi:type="dcterms:W3CDTF">2019-11-07T01:39:28Z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